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SWW_Daten\Kaufmännischer_Bereich\Rechnungswesen\6. REGULIERUNG\3.  NETZENTGELTE\Gas_2021_NNE\NE_Rechner_Gas\"/>
    </mc:Choice>
  </mc:AlternateContent>
  <workbookProtection workbookAlgorithmName="SHA-512" workbookHashValue="dRlxJD7wwVfFnru8bXzzahbbMDP/c1sulEkuV3JCyF8HiUD/6SXFqNx58FaZa2CD0DmtNSwRKkZa2Gm8dVFztQ==" workbookSaltValue="o5IAgpZpGc+oZUP80mHIEw==" workbookSpinCount="100000" lockStructure="1"/>
  <bookViews>
    <workbookView xWindow="240" yWindow="120" windowWidth="18780" windowHeight="12660"/>
  </bookViews>
  <sheets>
    <sheet name="Netzentgeltrechner Gas" sheetId="1" r:id="rId1"/>
    <sheet name="Mess- und Abrechnungspreise" sheetId="2" state="hidden" r:id="rId2"/>
    <sheet name="Rechnung Arbeit und Leistung" sheetId="3" state="hidden" r:id="rId3"/>
    <sheet name="Tabelle2" sheetId="5" state="hidden" r:id="rId4"/>
  </sheets>
  <definedNames>
    <definedName name="_xlnm._FilterDatabase" localSheetId="1" hidden="1">'Mess- und Abrechnungspreise'!$A$2:$A$6</definedName>
    <definedName name="_xlnm._FilterDatabase" localSheetId="0" hidden="1">'Netzentgeltrechner Gas'!$A$6:$F$13</definedName>
    <definedName name="Abrechnungsart">'Mess- und Abrechnungspreise'!$A$2:$A$6</definedName>
    <definedName name="Abrechnungsentgelt">'Mess- und Abrechnungspreise'!$B$3:$B$4</definedName>
    <definedName name="Datenlogger">'Mess- und Abrechnungspreise'!$C$19:$C$21</definedName>
    <definedName name="jährlich" workbookParameter="1">'Mess- und Abrechnungspreise'!$A$3</definedName>
    <definedName name="jährliche_Abrechnung">'Mess- und Abrechnungspreise'!$A$2:$A$4</definedName>
    <definedName name="Lastgangmessung">'Mess- und Abrechnungspreise'!$F$17:$F$18</definedName>
    <definedName name="Mengenumwerter">'Mess- und Abrechnungspreise'!$C$17:$C$18</definedName>
    <definedName name="Messungsentgelt">'Mess- und Abrechnungspreise'!$D$3:$D$11</definedName>
    <definedName name="Modem">'Mess- und Abrechnungspreise'!$C$22:$C$24</definedName>
    <definedName name="monatlich">'Mess- und Abrechnungspreise'!$A$4:$A$5</definedName>
    <definedName name="Z_AA4A5DD3_2C9E_409F_825B_F856B9C7EE57_.wvu.Cols" localSheetId="1" hidden="1">'Mess- und Abrechnungspreise'!$A:$D</definedName>
    <definedName name="Z_AA4A5DD3_2C9E_409F_825B_F856B9C7EE57_.wvu.Cols" localSheetId="2" hidden="1">'Rechnung Arbeit und Leistung'!$A:$F</definedName>
    <definedName name="ZählermLM">'Mess- und Abrechnungspreise'!$C$7:$C$11</definedName>
    <definedName name="ZähleroLM">'Mess- und Abrechnungspreise'!$C$2:$C$6</definedName>
  </definedNames>
  <calcPr calcId="152511"/>
  <customWorkbookViews>
    <customWorkbookView name="pa - Persönliche Ansicht" guid="{AA4A5DD3-2C9E-409F-825B-F856B9C7EE57}" mergeInterval="0" personalView="1" maximized="1" windowWidth="1276" windowHeight="861" activeSheetId="1"/>
  </customWorkbookViews>
</workbook>
</file>

<file path=xl/calcChain.xml><?xml version="1.0" encoding="utf-8"?>
<calcChain xmlns="http://schemas.openxmlformats.org/spreadsheetml/2006/main">
  <c r="E8" i="1" l="1"/>
  <c r="E16" i="1"/>
  <c r="D9" i="2"/>
  <c r="D10" i="2"/>
  <c r="B27" i="3"/>
  <c r="B28" i="3" s="1"/>
  <c r="E7" i="1" s="1"/>
  <c r="B19" i="3"/>
  <c r="B20" i="3" s="1"/>
  <c r="E6" i="1" s="1"/>
  <c r="E4" i="3"/>
  <c r="D4" i="3"/>
  <c r="E7" i="3"/>
  <c r="E2" i="3"/>
  <c r="H6" i="2"/>
  <c r="F6" i="2"/>
  <c r="D6" i="2"/>
  <c r="H5" i="2"/>
  <c r="H4" i="2"/>
  <c r="H3" i="2"/>
  <c r="E17" i="1" s="1"/>
  <c r="G3" i="2"/>
  <c r="G4" i="2" s="1"/>
  <c r="G5" i="2" s="1"/>
  <c r="G6" i="2" s="1"/>
  <c r="D20" i="2"/>
  <c r="D7" i="3"/>
  <c r="D5" i="3"/>
  <c r="E5" i="3"/>
  <c r="E9" i="1"/>
  <c r="D18" i="2"/>
  <c r="E18" i="1" s="1"/>
  <c r="D21" i="2"/>
  <c r="E11" i="1" s="1"/>
  <c r="D23" i="2"/>
  <c r="D24" i="2"/>
  <c r="D2" i="3"/>
  <c r="E8" i="3"/>
  <c r="E6" i="3"/>
  <c r="D6" i="3"/>
  <c r="E3" i="3"/>
  <c r="D3" i="3"/>
  <c r="D8" i="3"/>
  <c r="D8" i="2"/>
  <c r="F4" i="2"/>
  <c r="D4" i="2" s="1"/>
  <c r="D3" i="2"/>
  <c r="F2" i="3" l="1"/>
  <c r="F7" i="3"/>
  <c r="F3" i="3"/>
  <c r="E10" i="1"/>
  <c r="F5" i="3"/>
  <c r="F5" i="2"/>
  <c r="D5" i="2" s="1"/>
  <c r="D11" i="2"/>
  <c r="F6" i="3"/>
  <c r="F4" i="3"/>
  <c r="E15" i="1" s="1"/>
  <c r="F8" i="3"/>
  <c r="B30" i="3"/>
  <c r="E12" i="1"/>
  <c r="E19" i="1" l="1"/>
</calcChain>
</file>

<file path=xl/sharedStrings.xml><?xml version="1.0" encoding="utf-8"?>
<sst xmlns="http://schemas.openxmlformats.org/spreadsheetml/2006/main" count="122" uniqueCount="81">
  <si>
    <t>Jahresleistung</t>
  </si>
  <si>
    <t>in kWh</t>
  </si>
  <si>
    <t>in kW</t>
  </si>
  <si>
    <t>Abrechnungsart</t>
  </si>
  <si>
    <t>inklusive vorgelagerter Netzkosten</t>
  </si>
  <si>
    <t>Kunden mit Leistungsmessung</t>
  </si>
  <si>
    <t>Kunden ohne Leistungsmessung</t>
  </si>
  <si>
    <t>Entgelt Arbeitspreis</t>
  </si>
  <si>
    <t>Zähler</t>
  </si>
  <si>
    <t>Abrechnungsentgelt</t>
  </si>
  <si>
    <t>Entgelt Leistungspreis</t>
  </si>
  <si>
    <t>Netzentgelt Netto in € =</t>
  </si>
  <si>
    <t>bis 2000</t>
  </si>
  <si>
    <t>2001 - 10000</t>
  </si>
  <si>
    <t>10001 - 25000</t>
  </si>
  <si>
    <t>25001 - 50000</t>
  </si>
  <si>
    <t>50001 - 200000</t>
  </si>
  <si>
    <t>200001 - 500000</t>
  </si>
  <si>
    <t>500001 - 1500000</t>
  </si>
  <si>
    <t>Verbrauchsmenge</t>
  </si>
  <si>
    <t>Kunden bis 1.500.000 kWh/Jahr</t>
  </si>
  <si>
    <t>Kunden ab 1.500.000 kWh/Jahr</t>
  </si>
  <si>
    <t>Arbeit</t>
  </si>
  <si>
    <t>BM(OTW)</t>
  </si>
  <si>
    <t>BM(OVW)</t>
  </si>
  <si>
    <t>Wendepunkt Arbeit</t>
  </si>
  <si>
    <t>Exponent Arbeit</t>
  </si>
  <si>
    <t>Jahrearbeit</t>
  </si>
  <si>
    <t>NNE</t>
  </si>
  <si>
    <t>Leistung</t>
  </si>
  <si>
    <t>BM(OTP)</t>
  </si>
  <si>
    <t>BM(OVP)</t>
  </si>
  <si>
    <t>Wendepunkt Leistung</t>
  </si>
  <si>
    <t>Exponent Leistung</t>
  </si>
  <si>
    <t>Max. Jahresleistung</t>
  </si>
  <si>
    <t>Gesamt</t>
  </si>
  <si>
    <t>Entgelt Grundpreis und Arbeitspreis</t>
  </si>
  <si>
    <t>Jahresarbeit (Wert &lt;= 1.500.000 kWh)</t>
  </si>
  <si>
    <t>Grundpreis in Euro</t>
  </si>
  <si>
    <t>Messstellenbetrieb</t>
  </si>
  <si>
    <t>G 2,5 bis G 6</t>
  </si>
  <si>
    <t>G 10 bis G 25</t>
  </si>
  <si>
    <t>G 40 bis G 100</t>
  </si>
  <si>
    <t>Zusatzgeräte</t>
  </si>
  <si>
    <t>Mengenumwerter</t>
  </si>
  <si>
    <t>TAE-Modem</t>
  </si>
  <si>
    <t>GSM-Modem</t>
  </si>
  <si>
    <t>€</t>
  </si>
  <si>
    <t>Zusatzgerät</t>
  </si>
  <si>
    <t>mit gültigen Preisen ab:</t>
  </si>
  <si>
    <t>Netzentgeltrechner Gas</t>
  </si>
  <si>
    <t>Datenlogger</t>
  </si>
  <si>
    <t>Stadtwerke Weinheim GmbH</t>
  </si>
  <si>
    <t>Entgelt Messstellenbetrieb Zusatzgerät</t>
  </si>
  <si>
    <t>Entgelt Messstellenbetrieb Datenlogger</t>
  </si>
  <si>
    <t>*KE = Kommunikationseinheit</t>
  </si>
  <si>
    <t>Datenlogger - ohne KE*</t>
  </si>
  <si>
    <t>Datenlogger - mit KE*</t>
  </si>
  <si>
    <t>Arbeitspreis in ct/kWh</t>
  </si>
  <si>
    <t>Arbeitspreis in €/kWh</t>
  </si>
  <si>
    <t>ct/kWh</t>
  </si>
  <si>
    <t>Summe in €</t>
  </si>
  <si>
    <t>Summe Messung+ Messstellenbetrieb</t>
  </si>
  <si>
    <t>Messart</t>
  </si>
  <si>
    <t>jährlich</t>
  </si>
  <si>
    <t>monatlich</t>
  </si>
  <si>
    <t>Entgelt Messstellenbetrieb Zähler</t>
  </si>
  <si>
    <t>Entgelt Messung</t>
  </si>
  <si>
    <t>Lastgangmessung</t>
  </si>
  <si>
    <t>vierteljährlich</t>
  </si>
  <si>
    <t>halbjährlich</t>
  </si>
  <si>
    <t>Messentgelt</t>
  </si>
  <si>
    <t>=WENN(B18='Mess- und Abrechnungspreise'!C3;'Mess- und Abrechnungspreise'!E3;
WENN(B18='Mess- und Abrechnungspreise'!C4;'Mess- und A31Abrechnungspreise'!E4;
WENN(B18='Mess- und Abrechnungspreise'!C5;'Mess- und Abrechnungspreise'!E5;
WENN(B18='Mess- und Abrechnungspreise'!C6;'Mess- und Abrechnungspreise'!E6;
WENN(B18='Mess- und Abrechnungspreise'!C7;'Mess- und Abrechnungspreise'!E7;
WENN(B18='Mess- und Abrechnungspreise'!C8;'Mess- und Abrechnungspreise'!E8;0))))))</t>
  </si>
  <si>
    <t>Abrechnungsart_RLM</t>
  </si>
  <si>
    <t xml:space="preserve">Jahresarbeit </t>
  </si>
  <si>
    <t>die entweder Arbeit &gt; 1.500.000 kWh oder Leistung &gt; 500 kW beziehen</t>
  </si>
  <si>
    <t>G 160 bis G 400</t>
  </si>
  <si>
    <t>1. Januar 2021</t>
  </si>
  <si>
    <t>15.12.2020 unverändert sa</t>
  </si>
  <si>
    <t>Orange Felder angepasst an NE 01.01.21</t>
  </si>
  <si>
    <t>15.12.2020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</si>
</sst>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D_M_-;\-* #,##0.00\ _D_M_-;_-* &quot;-&quot;??\ _D_M_-;_-@_-"/>
    <numFmt numFmtId="165" formatCode="#,##0.0000"/>
    <numFmt numFmtId="166" formatCode="#,##0.00000"/>
    <numFmt numFmtId="167" formatCode="0.000000"/>
    <numFmt numFmtId="168" formatCode="#,##0.000000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3" fontId="2" fillId="2" borderId="1" xfId="0" applyNumberFormat="1" applyFont="1" applyFill="1" applyBorder="1" applyAlignment="1" applyProtection="1">
      <protection locked="0"/>
    </xf>
    <xf numFmtId="4" fontId="0" fillId="2" borderId="2" xfId="0" applyNumberForma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4" fontId="6" fillId="0" borderId="3" xfId="1" applyNumberFormat="1" applyFont="1" applyFill="1" applyBorder="1" applyAlignment="1">
      <alignment horizontal="right" vertical="center"/>
    </xf>
    <xf numFmtId="4" fontId="0" fillId="0" borderId="3" xfId="0" applyNumberForma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top"/>
    </xf>
    <xf numFmtId="0" fontId="2" fillId="0" borderId="0" xfId="0" applyFont="1" applyFill="1" applyAlignment="1" applyProtection="1"/>
    <xf numFmtId="0" fontId="0" fillId="0" borderId="0" xfId="0" applyFill="1" applyProtection="1"/>
    <xf numFmtId="0" fontId="2" fillId="0" borderId="0" xfId="0" applyFont="1" applyFill="1" applyAlignment="1" applyProtection="1">
      <alignment horizontal="right"/>
    </xf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ill="1" applyAlignment="1" applyProtection="1"/>
    <xf numFmtId="0" fontId="6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4" fontId="0" fillId="0" borderId="0" xfId="0" applyNumberFormat="1" applyFill="1" applyAlignment="1" applyProtection="1"/>
    <xf numFmtId="0" fontId="6" fillId="0" borderId="0" xfId="0" applyFont="1" applyFill="1" applyBorder="1" applyProtection="1"/>
    <xf numFmtId="0" fontId="0" fillId="0" borderId="4" xfId="0" applyFill="1" applyBorder="1" applyProtection="1"/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right"/>
    </xf>
    <xf numFmtId="4" fontId="2" fillId="3" borderId="4" xfId="0" applyNumberFormat="1" applyFont="1" applyFill="1" applyBorder="1" applyAlignment="1" applyProtection="1"/>
    <xf numFmtId="0" fontId="2" fillId="0" borderId="4" xfId="0" applyFont="1" applyFill="1" applyBorder="1" applyProtection="1"/>
    <xf numFmtId="4" fontId="0" fillId="0" borderId="0" xfId="0" applyNumberFormat="1" applyFill="1" applyAlignment="1" applyProtection="1">
      <alignment horizontal="right"/>
    </xf>
    <xf numFmtId="0" fontId="2" fillId="0" borderId="0" xfId="0" applyFont="1" applyFill="1" applyProtection="1"/>
    <xf numFmtId="0" fontId="0" fillId="0" borderId="4" xfId="0" applyFill="1" applyBorder="1" applyAlignment="1" applyProtection="1"/>
    <xf numFmtId="4" fontId="2" fillId="3" borderId="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Protection="1"/>
    <xf numFmtId="4" fontId="0" fillId="0" borderId="0" xfId="0" applyNumberFormat="1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Protection="1"/>
    <xf numFmtId="166" fontId="0" fillId="0" borderId="0" xfId="0" applyNumberFormat="1" applyFill="1" applyAlignment="1" applyProtection="1">
      <alignment wrapText="1"/>
    </xf>
    <xf numFmtId="4" fontId="0" fillId="3" borderId="0" xfId="0" applyNumberFormat="1" applyFill="1" applyAlignment="1" applyProtection="1">
      <alignment wrapText="1"/>
    </xf>
    <xf numFmtId="4" fontId="0" fillId="0" borderId="0" xfId="0" applyNumberFormat="1" applyAlignment="1" applyProtection="1">
      <alignment horizontal="right" wrapText="1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4" fontId="6" fillId="0" borderId="9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6" fillId="2" borderId="10" xfId="1" applyNumberFormat="1" applyFont="1" applyFill="1" applyBorder="1" applyAlignment="1">
      <alignment horizontal="right" vertical="center"/>
    </xf>
    <xf numFmtId="4" fontId="6" fillId="2" borderId="11" xfId="1" applyNumberFormat="1" applyFont="1" applyFill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2" borderId="6" xfId="1" applyNumberFormat="1" applyFont="1" applyFill="1" applyBorder="1" applyAlignment="1">
      <alignment horizontal="right" vertical="center"/>
    </xf>
    <xf numFmtId="4" fontId="6" fillId="2" borderId="7" xfId="1" applyNumberFormat="1" applyFont="1" applyFill="1" applyBorder="1" applyAlignment="1">
      <alignment horizontal="right" vertical="center"/>
    </xf>
    <xf numFmtId="4" fontId="6" fillId="2" borderId="8" xfId="1" applyNumberFormat="1" applyFont="1" applyFill="1" applyBorder="1" applyAlignment="1">
      <alignment horizontal="right" vertical="center"/>
    </xf>
    <xf numFmtId="4" fontId="0" fillId="2" borderId="12" xfId="0" applyNumberFormat="1" applyFill="1" applyBorder="1" applyAlignment="1">
      <alignment horizontal="right"/>
    </xf>
    <xf numFmtId="4" fontId="0" fillId="2" borderId="13" xfId="0" applyNumberFormat="1" applyFill="1" applyBorder="1" applyAlignment="1">
      <alignment horizontal="right"/>
    </xf>
    <xf numFmtId="4" fontId="0" fillId="2" borderId="10" xfId="0" applyNumberFormat="1" applyFill="1" applyBorder="1" applyAlignment="1" applyProtection="1">
      <alignment wrapText="1"/>
    </xf>
    <xf numFmtId="4" fontId="0" fillId="2" borderId="5" xfId="0" applyNumberFormat="1" applyFill="1" applyBorder="1" applyAlignment="1" applyProtection="1">
      <alignment wrapText="1"/>
    </xf>
    <xf numFmtId="4" fontId="0" fillId="2" borderId="7" xfId="0" applyNumberFormat="1" applyFill="1" applyBorder="1" applyAlignment="1" applyProtection="1">
      <alignment wrapText="1"/>
    </xf>
    <xf numFmtId="167" fontId="0" fillId="2" borderId="12" xfId="0" applyNumberFormat="1" applyFill="1" applyBorder="1" applyAlignment="1" applyProtection="1">
      <alignment wrapText="1"/>
    </xf>
    <xf numFmtId="167" fontId="0" fillId="2" borderId="13" xfId="0" applyNumberFormat="1" applyFill="1" applyBorder="1" applyAlignment="1" applyProtection="1">
      <alignment wrapText="1"/>
    </xf>
    <xf numFmtId="168" fontId="0" fillId="2" borderId="12" xfId="0" applyNumberFormat="1" applyFill="1" applyBorder="1" applyAlignment="1" applyProtection="1">
      <alignment wrapText="1"/>
    </xf>
    <xf numFmtId="168" fontId="0" fillId="2" borderId="13" xfId="0" applyNumberFormat="1" applyFill="1" applyBorder="1" applyAlignment="1" applyProtection="1">
      <alignment wrapText="1"/>
    </xf>
    <xf numFmtId="0" fontId="6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right"/>
    </xf>
    <xf numFmtId="4" fontId="0" fillId="0" borderId="0" xfId="0" applyNumberFormat="1" applyProtection="1"/>
    <xf numFmtId="0" fontId="2" fillId="0" borderId="0" xfId="0" applyFont="1" applyProtection="1"/>
    <xf numFmtId="14" fontId="6" fillId="0" borderId="0" xfId="0" applyNumberFormat="1" applyFont="1" applyAlignment="1" applyProtection="1"/>
    <xf numFmtId="2" fontId="6" fillId="0" borderId="8" xfId="0" applyNumberFormat="1" applyFont="1" applyFill="1" applyBorder="1" applyAlignment="1">
      <alignment horizontal="right"/>
    </xf>
    <xf numFmtId="2" fontId="6" fillId="2" borderId="2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center" vertical="center" wrapText="1"/>
    </xf>
    <xf numFmtId="4" fontId="2" fillId="0" borderId="0" xfId="0" applyNumberFormat="1" applyFont="1" applyAlignment="1" applyProtection="1">
      <alignment wrapText="1"/>
    </xf>
    <xf numFmtId="14" fontId="2" fillId="0" borderId="0" xfId="0" quotePrefix="1" applyNumberFormat="1" applyFont="1" applyFill="1" applyAlignment="1" applyProtection="1">
      <alignment horizontal="center"/>
    </xf>
    <xf numFmtId="0" fontId="8" fillId="0" borderId="0" xfId="0" quotePrefix="1" applyFont="1" applyAlignment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165" fontId="0" fillId="2" borderId="11" xfId="0" applyNumberFormat="1" applyFill="1" applyBorder="1" applyProtection="1"/>
    <xf numFmtId="165" fontId="0" fillId="2" borderId="6" xfId="0" applyNumberFormat="1" applyFill="1" applyBorder="1" applyProtection="1"/>
    <xf numFmtId="165" fontId="0" fillId="2" borderId="8" xfId="0" applyNumberFormat="1" applyFill="1" applyBorder="1" applyProtection="1"/>
    <xf numFmtId="4" fontId="9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wrapText="1"/>
    </xf>
    <xf numFmtId="4" fontId="6" fillId="2" borderId="0" xfId="1" applyNumberFormat="1" applyFont="1" applyFill="1" applyBorder="1" applyAlignment="1">
      <alignment horizontal="right" vertical="center"/>
    </xf>
    <xf numFmtId="0" fontId="0" fillId="0" borderId="0" xfId="0" quotePrefix="1"/>
    <xf numFmtId="4" fontId="9" fillId="0" borderId="0" xfId="0" applyNumberFormat="1" applyFont="1" applyAlignment="1" applyProtection="1">
      <alignment horizontal="left" wrapText="1"/>
    </xf>
  </cellXfs>
  <cellStyles count="2">
    <cellStyle name="Dezimal_Messung_Abrechnung_Sulzbach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8"/>
  <sheetViews>
    <sheetView tabSelected="1" zoomScaleNormal="100" workbookViewId="0">
      <selection activeCell="B7" sqref="B7"/>
    </sheetView>
  </sheetViews>
  <sheetFormatPr baseColWidth="10" defaultRowHeight="12.75"/>
  <cols>
    <col min="1" max="1" width="46.85546875" style="35" customWidth="1"/>
    <col min="2" max="2" width="27.7109375" style="78" bestFit="1" customWidth="1"/>
    <col min="3" max="3" width="8.140625" style="35" bestFit="1" customWidth="1"/>
    <col min="4" max="4" width="47" style="79" bestFit="1" customWidth="1"/>
    <col min="5" max="5" width="28.28515625" style="80" customWidth="1"/>
    <col min="6" max="6" width="4.5703125" style="35" customWidth="1"/>
    <col min="7" max="7" width="11.42578125" style="35"/>
    <col min="8" max="16384" width="11.42578125" style="90"/>
  </cols>
  <sheetData>
    <row r="1" spans="1:7" s="89" customFormat="1" ht="20.25">
      <c r="A1" s="7" t="s">
        <v>50</v>
      </c>
      <c r="B1" s="8" t="s">
        <v>52</v>
      </c>
      <c r="C1" s="9"/>
      <c r="D1" s="10"/>
      <c r="E1" s="11"/>
      <c r="F1" s="9"/>
      <c r="G1" s="9"/>
    </row>
    <row r="2" spans="1:7" s="89" customFormat="1">
      <c r="A2" s="9" t="s">
        <v>4</v>
      </c>
      <c r="B2" s="12"/>
      <c r="C2" s="9"/>
      <c r="D2" s="10"/>
      <c r="E2" s="11"/>
      <c r="F2" s="9"/>
      <c r="G2" s="9"/>
    </row>
    <row r="3" spans="1:7" s="89" customFormat="1">
      <c r="A3" s="9" t="s">
        <v>49</v>
      </c>
      <c r="B3" s="87" t="s">
        <v>77</v>
      </c>
      <c r="C3" s="9"/>
      <c r="D3" s="10"/>
      <c r="E3" s="11"/>
      <c r="F3" s="9"/>
      <c r="G3" s="9"/>
    </row>
    <row r="4" spans="1:7" s="89" customFormat="1" ht="15.75">
      <c r="A4" s="13" t="s">
        <v>5</v>
      </c>
      <c r="B4" s="14"/>
      <c r="C4" s="9"/>
      <c r="D4" s="10"/>
      <c r="E4" s="11"/>
      <c r="F4" s="9"/>
      <c r="G4" s="9"/>
    </row>
    <row r="5" spans="1:7" s="89" customFormat="1" ht="13.5" thickBot="1">
      <c r="A5" s="9" t="s">
        <v>75</v>
      </c>
      <c r="B5" s="14"/>
      <c r="C5" s="9"/>
      <c r="D5" s="15"/>
      <c r="E5" s="11"/>
      <c r="F5" s="9"/>
      <c r="G5" s="9"/>
    </row>
    <row r="6" spans="1:7" s="89" customFormat="1" ht="14.25" thickTop="1" thickBot="1">
      <c r="A6" s="16" t="s">
        <v>74</v>
      </c>
      <c r="B6" s="2">
        <v>2000000</v>
      </c>
      <c r="C6" s="16" t="s">
        <v>1</v>
      </c>
      <c r="D6" s="17" t="s">
        <v>7</v>
      </c>
      <c r="E6" s="18">
        <f>IF(AND(B6&lt;1500000,B7&lt;500),"Eingabefehler",'Rechnung Arbeit und Leistung'!B20)</f>
        <v>6069.0649152981068</v>
      </c>
      <c r="F6" s="9" t="s">
        <v>47</v>
      </c>
      <c r="G6" s="9"/>
    </row>
    <row r="7" spans="1:7" s="89" customFormat="1" ht="14.25" thickTop="1" thickBot="1">
      <c r="A7" s="16" t="s">
        <v>0</v>
      </c>
      <c r="B7" s="29">
        <v>1000</v>
      </c>
      <c r="C7" s="16" t="s">
        <v>2</v>
      </c>
      <c r="D7" s="17" t="s">
        <v>10</v>
      </c>
      <c r="E7" s="18">
        <f>IF(AND(B6&lt;1500000,B7&lt;500),"Eingabefehler",'Rechnung Arbeit und Leistung'!B28)</f>
        <v>11527.036007615121</v>
      </c>
      <c r="F7" s="9" t="s">
        <v>47</v>
      </c>
      <c r="G7" s="9"/>
    </row>
    <row r="8" spans="1:7" s="89" customFormat="1" ht="14.25" thickTop="1" thickBot="1">
      <c r="A8" s="16" t="s">
        <v>8</v>
      </c>
      <c r="B8" s="30" t="s">
        <v>76</v>
      </c>
      <c r="C8" s="9"/>
      <c r="D8" s="17" t="s">
        <v>66</v>
      </c>
      <c r="E8" s="25">
        <f>IF(B8='Mess- und Abrechnungspreise'!C8,'Mess- und Abrechnungspreise'!E8,
IF(B8='Mess- und Abrechnungspreise'!C9,'Mess- und Abrechnungspreise'!E9,
IF(B8='Mess- und Abrechnungspreise'!C10,'Mess- und Abrechnungspreise'!E10,
IF(B8='Mess- und Abrechnungspreise'!C11,'Mess- und Abrechnungspreise'!E11,))))</f>
        <v>175</v>
      </c>
      <c r="F8" s="9" t="s">
        <v>47</v>
      </c>
      <c r="G8" s="9"/>
    </row>
    <row r="9" spans="1:7" s="89" customFormat="1" ht="14.25" thickTop="1" thickBot="1">
      <c r="A9" s="19" t="s">
        <v>63</v>
      </c>
      <c r="B9" s="30" t="s">
        <v>68</v>
      </c>
      <c r="C9" s="9"/>
      <c r="D9" s="17" t="s">
        <v>67</v>
      </c>
      <c r="E9" s="18">
        <f>IF(B9='Mess- und Abrechnungspreise'!F18,'Mess- und Abrechnungspreise'!F11,0)</f>
        <v>40</v>
      </c>
      <c r="F9" s="9" t="s">
        <v>47</v>
      </c>
      <c r="G9" s="9"/>
    </row>
    <row r="10" spans="1:7" s="89" customFormat="1" ht="14.25" thickTop="1" thickBot="1">
      <c r="A10" s="19" t="s">
        <v>48</v>
      </c>
      <c r="B10" s="30" t="s">
        <v>44</v>
      </c>
      <c r="C10" s="9"/>
      <c r="D10" s="17" t="s">
        <v>53</v>
      </c>
      <c r="E10" s="18">
        <f>IF(B10=0,0,'Mess- und Abrechnungspreise'!D18)</f>
        <v>333</v>
      </c>
      <c r="F10" s="9" t="s">
        <v>47</v>
      </c>
      <c r="G10" s="9"/>
    </row>
    <row r="11" spans="1:7" s="89" customFormat="1" ht="14.25" thickTop="1" thickBot="1">
      <c r="A11" s="19" t="s">
        <v>51</v>
      </c>
      <c r="B11" s="30" t="s">
        <v>57</v>
      </c>
      <c r="C11" s="9"/>
      <c r="D11" s="17" t="s">
        <v>54</v>
      </c>
      <c r="E11" s="18">
        <f>IF(B11='Mess- und Abrechnungspreise'!C20,'Mess- und Abrechnungspreise'!D20,IF(B11='Mess- und Abrechnungspreise'!C21,'Mess- und Abrechnungspreise'!D21,0))</f>
        <v>159</v>
      </c>
      <c r="F11" s="9" t="s">
        <v>47</v>
      </c>
      <c r="G11" s="9"/>
    </row>
    <row r="12" spans="1:7" s="89" customFormat="1" ht="16.5" thickTop="1">
      <c r="A12" s="20"/>
      <c r="B12" s="21" t="s">
        <v>55</v>
      </c>
      <c r="C12" s="20"/>
      <c r="D12" s="22" t="s">
        <v>11</v>
      </c>
      <c r="E12" s="23">
        <f>SUM(E6:E11)</f>
        <v>18303.100922913229</v>
      </c>
      <c r="F12" s="24" t="s">
        <v>47</v>
      </c>
      <c r="G12" s="9"/>
    </row>
    <row r="13" spans="1:7" s="89" customFormat="1" ht="15.75">
      <c r="A13" s="13" t="s">
        <v>6</v>
      </c>
      <c r="B13" s="14"/>
      <c r="C13" s="9"/>
      <c r="D13" s="10"/>
      <c r="E13" s="11"/>
      <c r="F13" s="9"/>
      <c r="G13" s="9"/>
    </row>
    <row r="14" spans="1:7" s="89" customFormat="1" ht="13.5" thickBot="1">
      <c r="A14" s="9"/>
      <c r="B14" s="14"/>
      <c r="C14" s="9"/>
      <c r="D14" s="15"/>
      <c r="E14" s="11"/>
      <c r="F14" s="9"/>
      <c r="G14" s="9"/>
    </row>
    <row r="15" spans="1:7" s="89" customFormat="1" ht="14.25" thickTop="1" thickBot="1">
      <c r="A15" s="16" t="s">
        <v>37</v>
      </c>
      <c r="B15" s="4">
        <v>80000</v>
      </c>
      <c r="C15" s="16" t="s">
        <v>1</v>
      </c>
      <c r="D15" s="17" t="s">
        <v>36</v>
      </c>
      <c r="E15" s="25">
        <f>IF(AND(B15&lt;=2000,B15&gt;0),'Rechnung Arbeit und Leistung'!F2,IF(AND(B15&gt;2000,B15&lt;=10000),'Rechnung Arbeit und Leistung'!F3,IF(AND(B15&lt;=25000,B15&gt;10000),'Rechnung Arbeit und Leistung'!F4,IF(AND(B15&gt;25000,B15&lt;=50000),'Rechnung Arbeit und Leistung'!F5,IF(AND(B15&gt;50000,B15&lt;=200000),'Rechnung Arbeit und Leistung'!F6,IF(AND(B15&gt;200000,B15&lt;=500000),'Rechnung Arbeit und Leistung'!F7,IF(AND(B15&gt;500000,B15&lt;=1500000),'Rechnung Arbeit und Leistung'!F8, IF(B15&gt;1500000,"Leistungsmessung erforderlich",))))))))</f>
        <v>821.46900000000005</v>
      </c>
      <c r="F15" s="26" t="s">
        <v>47</v>
      </c>
      <c r="G15" s="9"/>
    </row>
    <row r="16" spans="1:7" s="89" customFormat="1" ht="14.25" thickTop="1" thickBot="1">
      <c r="A16" s="16" t="s">
        <v>8</v>
      </c>
      <c r="B16" s="30" t="s">
        <v>40</v>
      </c>
      <c r="C16" s="9"/>
      <c r="D16" s="17" t="s">
        <v>66</v>
      </c>
      <c r="E16" s="25">
        <f>IF(B16='Mess- und Abrechnungspreise'!C3,'Mess- und Abrechnungspreise'!E3,
IF(B16='Mess- und Abrechnungspreise'!C4,'Mess- und Abrechnungspreise'!E4,
IF(B16='Mess- und Abrechnungspreise'!C5,'Mess- und Abrechnungspreise'!E5,
IF(B16='Mess- und Abrechnungspreise'!C6,'Mess- und Abrechnungspreise'!E6,))))</f>
        <v>14.4</v>
      </c>
      <c r="F16" s="26" t="s">
        <v>47</v>
      </c>
      <c r="G16" s="9"/>
    </row>
    <row r="17" spans="1:7" s="89" customFormat="1" ht="14.25" thickTop="1" thickBot="1">
      <c r="A17" s="16" t="s">
        <v>63</v>
      </c>
      <c r="B17" s="31" t="s">
        <v>64</v>
      </c>
      <c r="C17" s="9"/>
      <c r="D17" s="17" t="s">
        <v>67</v>
      </c>
      <c r="E17" s="25">
        <f>IF(B17='Mess- und Abrechnungspreise'!H3,'Mess- und Abrechnungspreise'!G3,IF(B17='Mess- und Abrechnungspreise'!H4,'Mess- und Abrechnungspreise'!G4,IF(B17='Mess- und Abrechnungspreise'!H5,'Mess- und Abrechnungspreise'!G5,IF(B17='Mess- und Abrechnungspreise'!H6,'Mess- und Abrechnungspreise'!G6,0))))</f>
        <v>2.8</v>
      </c>
      <c r="F17" s="26" t="s">
        <v>47</v>
      </c>
      <c r="G17" s="9"/>
    </row>
    <row r="18" spans="1:7" s="89" customFormat="1" ht="14.25" thickTop="1" thickBot="1">
      <c r="A18" s="19" t="s">
        <v>48</v>
      </c>
      <c r="B18" s="30"/>
      <c r="C18" s="9"/>
      <c r="D18" s="17" t="s">
        <v>53</v>
      </c>
      <c r="E18" s="18">
        <f>IF(B18=0,0,'Mess- und Abrechnungspreise'!D18)</f>
        <v>0</v>
      </c>
      <c r="F18" s="26"/>
      <c r="G18" s="9"/>
    </row>
    <row r="19" spans="1:7" s="89" customFormat="1" ht="17.25" thickTop="1" thickBot="1">
      <c r="A19" s="20"/>
      <c r="B19" s="27"/>
      <c r="C19" s="20"/>
      <c r="D19" s="22" t="s">
        <v>11</v>
      </c>
      <c r="E19" s="28">
        <f>SUM(E15:E18)</f>
        <v>838.66899999999998</v>
      </c>
      <c r="F19" s="24" t="s">
        <v>47</v>
      </c>
      <c r="G19" s="9"/>
    </row>
    <row r="20" spans="1:7" s="89" customFormat="1" ht="13.5" thickTop="1">
      <c r="A20" s="20"/>
      <c r="B20" s="20"/>
      <c r="C20" s="20"/>
      <c r="D20" s="20"/>
      <c r="E20" s="20"/>
      <c r="F20" s="20"/>
      <c r="G20" s="9"/>
    </row>
    <row r="22" spans="1:7">
      <c r="A22" s="81"/>
      <c r="B22" s="82"/>
    </row>
    <row r="23" spans="1:7">
      <c r="C23" s="80"/>
    </row>
    <row r="24" spans="1:7">
      <c r="C24" s="80"/>
    </row>
    <row r="25" spans="1:7">
      <c r="C25" s="80"/>
    </row>
    <row r="26" spans="1:7">
      <c r="C26" s="80"/>
    </row>
    <row r="27" spans="1:7">
      <c r="C27" s="80"/>
    </row>
    <row r="28" spans="1:7">
      <c r="C28" s="80"/>
    </row>
  </sheetData>
  <sheetProtection algorithmName="SHA-512" hashValue="1L9wmf2Q7zgsPks3Fj/5SwpBYhJ1G5xmLr9eD+aEya/MwhCGygCJ3FRT9Eeoob8S7KQMI7z1BH3amXvwj2Xzvw==" saltValue="m0F+mwD6W21/Q8hb6IQ7hw==" spinCount="100000"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B6:B11 B15:B18" name="Bereich1"/>
  </protectedRanges>
  <customSheetViews>
    <customSheetView guid="{AA4A5DD3-2C9E-409F-825B-F856B9C7EE57}" showRuler="0">
      <selection activeCell="D1" activeCellId="4" sqref="E1:E65536 A1:A65536 C1:C65536 D1 D1:D65536"/>
      <pageMargins left="0.78740157499999996" right="0.78740157499999996" top="0.984251969" bottom="0.984251969" header="0.4921259845" footer="0.4921259845"/>
      <pageSetup paperSize="9" scale="69" orientation="portrait" r:id="rId1"/>
      <headerFooter alignWithMargins="0"/>
    </customSheetView>
  </customSheetViews>
  <phoneticPr fontId="4" type="noConversion"/>
  <dataValidations count="9">
    <dataValidation type="list" allowBlank="1" showInputMessage="1" showErrorMessage="1" sqref="B16">
      <formula1>ZähleroLM</formula1>
    </dataValidation>
    <dataValidation type="list" allowBlank="1" showInputMessage="1" showErrorMessage="1" sqref="B17">
      <formula1>Abrechnungsart</formula1>
    </dataValidation>
    <dataValidation type="whole" allowBlank="1" showInputMessage="1" showErrorMessage="1" sqref="B15">
      <formula1>0</formula1>
      <formula2>1500000</formula2>
    </dataValidation>
    <dataValidation type="whole" allowBlank="1" showInputMessage="1" showErrorMessage="1" sqref="B7">
      <formula1>0</formula1>
      <formula2>100000000</formula2>
    </dataValidation>
    <dataValidation type="whole" allowBlank="1" showInputMessage="1" showErrorMessage="1" sqref="B6">
      <formula1>0</formula1>
      <formula2>10000000000</formula2>
    </dataValidation>
    <dataValidation type="list" showInputMessage="1" showErrorMessage="1" errorTitle="Falscher Wert!" error="Sie müssen Zahlen im zulässigen Werterahmen eingeben!" sqref="B8">
      <formula1>ZählermLM</formula1>
    </dataValidation>
    <dataValidation type="list" showInputMessage="1" showErrorMessage="1" errorTitle="Falscher Wert!" error="Sie müssen Zahlen im zulässigen Werterahmen eingeben!" sqref="B10 B18">
      <formula1>Mengenumwerter</formula1>
    </dataValidation>
    <dataValidation type="list" showInputMessage="1" showErrorMessage="1" errorTitle="Falscher Wert!" error="Sie müssen Zahlen im zulässigen Werterahmen eingeben!" sqref="B11">
      <formula1>Datenlogger</formula1>
    </dataValidation>
    <dataValidation type="list" showInputMessage="1" showErrorMessage="1" errorTitle="Falscher Wert!" error="Sie müssen Zahlen im zulässigen Werterahmen eingeben!" sqref="B9">
      <formula1>Lastgangmessung</formula1>
    </dataValidation>
  </dataValidations>
  <pageMargins left="0.78740157480314965" right="0.78740157480314965" top="0.98425196850393704" bottom="0.98425196850393704" header="0.51181102362204722" footer="0.51181102362204722"/>
  <pageSetup paperSize="9" scale="79" orientation="landscape" r:id="rId2"/>
  <headerFooter alignWithMargins="0">
    <oddHeader>&amp;R&amp;G</oddHeader>
    <oddFooter>&amp;LStand: 18.12.2019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27"/>
  <sheetViews>
    <sheetView workbookViewId="0">
      <selection activeCell="A27" sqref="A27"/>
    </sheetView>
  </sheetViews>
  <sheetFormatPr baseColWidth="10" defaultRowHeight="12.75"/>
  <cols>
    <col min="1" max="1" width="20.5703125" bestFit="1" customWidth="1"/>
    <col min="2" max="2" width="19.28515625" style="1" bestFit="1" customWidth="1"/>
    <col min="3" max="3" width="20.5703125" bestFit="1" customWidth="1"/>
    <col min="4" max="5" width="19" customWidth="1"/>
    <col min="6" max="6" width="18.140625" customWidth="1"/>
    <col min="7" max="7" width="14.28515625" customWidth="1"/>
    <col min="9" max="9" width="20.140625" customWidth="1"/>
  </cols>
  <sheetData>
    <row r="1" spans="1:9" ht="25.5">
      <c r="A1" s="77" t="s">
        <v>3</v>
      </c>
      <c r="B1" s="77" t="s">
        <v>9</v>
      </c>
      <c r="C1" s="77" t="s">
        <v>8</v>
      </c>
      <c r="D1" s="77" t="s">
        <v>62</v>
      </c>
      <c r="E1" s="77" t="s">
        <v>39</v>
      </c>
      <c r="F1" s="77" t="s">
        <v>71</v>
      </c>
      <c r="G1" s="77" t="s">
        <v>71</v>
      </c>
      <c r="H1" s="85" t="s">
        <v>63</v>
      </c>
      <c r="I1" s="77" t="s">
        <v>73</v>
      </c>
    </row>
    <row r="2" spans="1:9">
      <c r="A2" s="44"/>
      <c r="B2" s="45" t="s">
        <v>47</v>
      </c>
      <c r="C2" s="44"/>
      <c r="D2" s="51" t="s">
        <v>47</v>
      </c>
      <c r="E2" s="51" t="s">
        <v>47</v>
      </c>
      <c r="F2" s="45" t="s">
        <v>47</v>
      </c>
      <c r="G2" s="45" t="s">
        <v>47</v>
      </c>
    </row>
    <row r="3" spans="1:9">
      <c r="A3" s="73" t="s">
        <v>64</v>
      </c>
      <c r="B3" s="84">
        <v>0</v>
      </c>
      <c r="C3" s="73" t="s">
        <v>40</v>
      </c>
      <c r="D3" s="52">
        <f t="shared" ref="D3:D6" si="0">E3+F3</f>
        <v>17.2</v>
      </c>
      <c r="E3" s="58">
        <v>14.4</v>
      </c>
      <c r="F3" s="59">
        <v>2.8</v>
      </c>
      <c r="G3" s="59">
        <f>F3</f>
        <v>2.8</v>
      </c>
      <c r="H3" t="str">
        <f>A3</f>
        <v>jährlich</v>
      </c>
    </row>
    <row r="4" spans="1:9">
      <c r="A4" s="73" t="s">
        <v>70</v>
      </c>
      <c r="B4" s="84">
        <v>0</v>
      </c>
      <c r="C4" s="73" t="s">
        <v>41</v>
      </c>
      <c r="D4" s="52">
        <f t="shared" si="0"/>
        <v>37.699999999999996</v>
      </c>
      <c r="E4" s="60">
        <v>34.9</v>
      </c>
      <c r="F4" s="61">
        <f>F3</f>
        <v>2.8</v>
      </c>
      <c r="G4" s="61">
        <f>G3*2</f>
        <v>5.6</v>
      </c>
      <c r="H4" t="str">
        <f>A4</f>
        <v>halbjährlich</v>
      </c>
    </row>
    <row r="5" spans="1:9">
      <c r="A5" s="73" t="s">
        <v>69</v>
      </c>
      <c r="B5" s="84">
        <v>0</v>
      </c>
      <c r="C5" s="73" t="s">
        <v>42</v>
      </c>
      <c r="D5" s="52">
        <f t="shared" si="0"/>
        <v>112.8</v>
      </c>
      <c r="E5" s="60">
        <v>110</v>
      </c>
      <c r="F5" s="61">
        <f>F4</f>
        <v>2.8</v>
      </c>
      <c r="G5" s="61">
        <f>G4*2</f>
        <v>11.2</v>
      </c>
      <c r="H5" t="str">
        <f>A5</f>
        <v>vierteljährlich</v>
      </c>
    </row>
    <row r="6" spans="1:9">
      <c r="A6" s="73" t="s">
        <v>65</v>
      </c>
      <c r="B6" s="84">
        <v>0</v>
      </c>
      <c r="C6" s="73" t="s">
        <v>76</v>
      </c>
      <c r="D6" s="52">
        <f t="shared" si="0"/>
        <v>177.8</v>
      </c>
      <c r="E6" s="62">
        <v>175</v>
      </c>
      <c r="F6" s="63">
        <f>F3</f>
        <v>2.8</v>
      </c>
      <c r="G6" s="63">
        <f>G5*3</f>
        <v>33.599999999999994</v>
      </c>
      <c r="H6" t="str">
        <f>A6</f>
        <v>monatlich</v>
      </c>
    </row>
    <row r="7" spans="1:9">
      <c r="A7" s="46"/>
      <c r="B7" s="47"/>
      <c r="C7" s="73"/>
      <c r="D7" s="52"/>
      <c r="E7" s="5"/>
      <c r="F7" s="53"/>
      <c r="G7" s="53"/>
    </row>
    <row r="8" spans="1:9">
      <c r="A8" s="73"/>
      <c r="B8" s="47"/>
      <c r="C8" s="73" t="s">
        <v>40</v>
      </c>
      <c r="D8" s="52">
        <f>E8+F8</f>
        <v>54.4</v>
      </c>
      <c r="E8" s="58">
        <v>14.4</v>
      </c>
      <c r="F8" s="59">
        <v>40</v>
      </c>
      <c r="G8" s="59">
        <v>40</v>
      </c>
      <c r="I8" s="73" t="s">
        <v>64</v>
      </c>
    </row>
    <row r="9" spans="1:9">
      <c r="A9" s="73"/>
      <c r="B9" s="47"/>
      <c r="C9" s="73" t="s">
        <v>41</v>
      </c>
      <c r="D9" s="52">
        <f t="shared" ref="D9:D10" si="1">E9+F9</f>
        <v>74.900000000000006</v>
      </c>
      <c r="E9" s="60">
        <v>34.9</v>
      </c>
      <c r="F9" s="61">
        <v>40</v>
      </c>
      <c r="G9" s="61">
        <v>40</v>
      </c>
    </row>
    <row r="10" spans="1:9">
      <c r="A10" s="73"/>
      <c r="B10" s="47"/>
      <c r="C10" s="73" t="s">
        <v>42</v>
      </c>
      <c r="D10" s="52">
        <f t="shared" si="1"/>
        <v>150</v>
      </c>
      <c r="E10" s="60">
        <v>110</v>
      </c>
      <c r="F10" s="61">
        <v>40</v>
      </c>
      <c r="G10" s="61">
        <v>40</v>
      </c>
    </row>
    <row r="11" spans="1:9">
      <c r="A11" s="46"/>
      <c r="B11" s="47"/>
      <c r="C11" s="73" t="s">
        <v>76</v>
      </c>
      <c r="D11" s="52">
        <f>E11+F11</f>
        <v>215</v>
      </c>
      <c r="E11" s="62">
        <v>175</v>
      </c>
      <c r="F11" s="63">
        <v>40</v>
      </c>
      <c r="G11" s="63">
        <v>40</v>
      </c>
    </row>
    <row r="12" spans="1:9">
      <c r="A12" s="46"/>
      <c r="B12" s="47"/>
      <c r="C12" s="73"/>
      <c r="D12" s="52"/>
      <c r="E12" s="96"/>
      <c r="F12" s="61"/>
      <c r="G12" s="96"/>
    </row>
    <row r="13" spans="1:9">
      <c r="A13" s="46"/>
      <c r="B13" s="47"/>
      <c r="C13" s="73"/>
      <c r="D13" s="52"/>
      <c r="E13" s="96"/>
      <c r="F13" s="61"/>
      <c r="G13" s="96"/>
    </row>
    <row r="14" spans="1:9">
      <c r="A14" s="46"/>
      <c r="B14" s="47"/>
      <c r="C14" s="73"/>
      <c r="D14" s="52"/>
      <c r="E14" s="55"/>
      <c r="F14" s="56"/>
    </row>
    <row r="15" spans="1:9">
      <c r="A15" s="44"/>
      <c r="B15" s="48"/>
      <c r="C15" s="74"/>
      <c r="D15" s="54"/>
      <c r="E15" s="55"/>
      <c r="F15" s="56"/>
    </row>
    <row r="16" spans="1:9">
      <c r="A16" s="44"/>
      <c r="B16" s="48"/>
      <c r="C16" s="75" t="s">
        <v>43</v>
      </c>
      <c r="D16" s="54"/>
      <c r="E16" s="55"/>
      <c r="F16" s="56"/>
    </row>
    <row r="17" spans="1:7">
      <c r="A17" s="44"/>
      <c r="B17" s="48"/>
      <c r="C17" s="75"/>
      <c r="D17" s="54"/>
      <c r="E17" s="55"/>
      <c r="F17" s="56"/>
    </row>
    <row r="18" spans="1:7">
      <c r="A18" s="44"/>
      <c r="B18" s="48"/>
      <c r="C18" s="74" t="s">
        <v>44</v>
      </c>
      <c r="D18" s="52">
        <f>E18</f>
        <v>333</v>
      </c>
      <c r="E18" s="3">
        <v>333</v>
      </c>
      <c r="F18" s="56" t="s">
        <v>68</v>
      </c>
    </row>
    <row r="19" spans="1:7">
      <c r="A19" s="44"/>
      <c r="B19" s="48"/>
      <c r="C19" s="74"/>
      <c r="D19" s="52"/>
      <c r="E19" s="6"/>
      <c r="F19" s="56"/>
    </row>
    <row r="20" spans="1:7">
      <c r="A20" s="44"/>
      <c r="B20" s="48"/>
      <c r="C20" s="74" t="s">
        <v>56</v>
      </c>
      <c r="D20" s="52">
        <f>E20</f>
        <v>99.09</v>
      </c>
      <c r="E20" s="64">
        <v>99.09</v>
      </c>
      <c r="F20" s="56"/>
    </row>
    <row r="21" spans="1:7">
      <c r="A21" s="44"/>
      <c r="B21" s="48"/>
      <c r="C21" s="74" t="s">
        <v>57</v>
      </c>
      <c r="D21" s="52">
        <f>E21</f>
        <v>159</v>
      </c>
      <c r="E21" s="65">
        <v>159</v>
      </c>
      <c r="F21" s="56"/>
    </row>
    <row r="22" spans="1:7">
      <c r="A22" s="44"/>
      <c r="B22" s="48"/>
      <c r="C22" s="74"/>
      <c r="D22" s="52"/>
      <c r="E22" s="55"/>
      <c r="F22" s="56"/>
    </row>
    <row r="23" spans="1:7">
      <c r="A23" s="44"/>
      <c r="B23" s="48"/>
      <c r="C23" s="74" t="s">
        <v>45</v>
      </c>
      <c r="D23" s="52">
        <f>E23</f>
        <v>0</v>
      </c>
      <c r="E23" s="64"/>
      <c r="F23" s="56"/>
      <c r="G23" s="64">
        <v>32.94</v>
      </c>
    </row>
    <row r="24" spans="1:7">
      <c r="A24" s="49"/>
      <c r="B24" s="50"/>
      <c r="C24" s="76" t="s">
        <v>46</v>
      </c>
      <c r="D24" s="83">
        <f>E24</f>
        <v>0</v>
      </c>
      <c r="E24" s="65"/>
      <c r="F24" s="57"/>
      <c r="G24" s="65">
        <v>59.91</v>
      </c>
    </row>
    <row r="27" spans="1:7">
      <c r="A27" s="97" t="s">
        <v>78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F1">
      <selection sqref="A1:E1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4" type="noConversion"/>
  <dataValidations disablePrompts="1" count="2">
    <dataValidation allowBlank="1" showInputMessage="1" showErrorMessage="1" promptTitle="Mengenumwerter" sqref="D22"/>
    <dataValidation showInputMessage="1" showErrorMessage="1" sqref="C18:C19 C22"/>
  </dataValidation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33"/>
  <sheetViews>
    <sheetView workbookViewId="0">
      <selection activeCell="B19" sqref="B19"/>
    </sheetView>
  </sheetViews>
  <sheetFormatPr baseColWidth="10" defaultRowHeight="12.75"/>
  <cols>
    <col min="1" max="1" width="25.85546875" style="34" customWidth="1"/>
    <col min="2" max="2" width="16.140625" style="36" bestFit="1" customWidth="1"/>
    <col min="3" max="3" width="14.42578125" style="35" bestFit="1" customWidth="1"/>
    <col min="4" max="4" width="21.7109375" style="36" bestFit="1" customWidth="1"/>
    <col min="5" max="5" width="14.42578125" style="36" bestFit="1" customWidth="1"/>
    <col min="6" max="6" width="14" style="36" bestFit="1" customWidth="1"/>
    <col min="7" max="16384" width="11.42578125" style="35"/>
  </cols>
  <sheetData>
    <row r="1" spans="1:6" s="40" customFormat="1" ht="31.5">
      <c r="A1" s="38" t="s">
        <v>20</v>
      </c>
      <c r="B1" s="39" t="s">
        <v>38</v>
      </c>
      <c r="C1" s="39" t="s">
        <v>58</v>
      </c>
      <c r="D1" s="39" t="s">
        <v>19</v>
      </c>
      <c r="E1" s="39" t="s">
        <v>59</v>
      </c>
      <c r="F1" s="39" t="s">
        <v>61</v>
      </c>
    </row>
    <row r="2" spans="1:6">
      <c r="A2" s="43" t="s">
        <v>12</v>
      </c>
      <c r="B2" s="66">
        <v>7.0049999999999999</v>
      </c>
      <c r="C2" s="91">
        <v>1.6920999999999999</v>
      </c>
      <c r="D2" s="34">
        <f>'Netzentgeltrechner Gas'!B15</f>
        <v>80000</v>
      </c>
      <c r="E2" s="41">
        <f t="shared" ref="E2:E8" si="0">C2/100</f>
        <v>1.6920999999999999E-2</v>
      </c>
      <c r="F2" s="42">
        <f>B2+(D2*E2)</f>
        <v>1360.6849999999999</v>
      </c>
    </row>
    <row r="3" spans="1:6">
      <c r="A3" s="43" t="s">
        <v>13</v>
      </c>
      <c r="B3" s="67">
        <v>14.010999999999999</v>
      </c>
      <c r="C3" s="92">
        <v>1.3421000000000001</v>
      </c>
      <c r="D3" s="34">
        <f>'Netzentgeltrechner Gas'!B15</f>
        <v>80000</v>
      </c>
      <c r="E3" s="41">
        <f t="shared" si="0"/>
        <v>1.3421000000000001E-2</v>
      </c>
      <c r="F3" s="42">
        <f t="shared" ref="F3:F8" si="1">B3+(D3*E3)</f>
        <v>1087.691</v>
      </c>
    </row>
    <row r="4" spans="1:6">
      <c r="A4" s="43" t="s">
        <v>14</v>
      </c>
      <c r="B4" s="67">
        <v>35.027000000000001</v>
      </c>
      <c r="C4" s="92">
        <v>1.1318999999999999</v>
      </c>
      <c r="D4" s="34">
        <f>'Netzentgeltrechner Gas'!B15</f>
        <v>80000</v>
      </c>
      <c r="E4" s="41">
        <f t="shared" si="0"/>
        <v>1.1318999999999999E-2</v>
      </c>
      <c r="F4" s="42">
        <f t="shared" si="1"/>
        <v>940.54700000000003</v>
      </c>
    </row>
    <row r="5" spans="1:6">
      <c r="A5" s="43" t="s">
        <v>15</v>
      </c>
      <c r="B5" s="67">
        <v>70.055000000000007</v>
      </c>
      <c r="C5" s="92">
        <v>0.99180000000000001</v>
      </c>
      <c r="D5" s="34">
        <f>'Netzentgeltrechner Gas'!B15</f>
        <v>80000</v>
      </c>
      <c r="E5" s="41">
        <f t="shared" si="0"/>
        <v>9.9179999999999997E-3</v>
      </c>
      <c r="F5" s="42">
        <f t="shared" si="1"/>
        <v>863.49499999999989</v>
      </c>
    </row>
    <row r="6" spans="1:6">
      <c r="A6" s="43" t="s">
        <v>16</v>
      </c>
      <c r="B6" s="67">
        <v>140.10900000000001</v>
      </c>
      <c r="C6" s="92">
        <v>0.85170000000000001</v>
      </c>
      <c r="D6" s="34">
        <f>'Netzentgeltrechner Gas'!B15</f>
        <v>80000</v>
      </c>
      <c r="E6" s="41">
        <f t="shared" si="0"/>
        <v>8.5170000000000003E-3</v>
      </c>
      <c r="F6" s="42">
        <f t="shared" si="1"/>
        <v>821.46900000000005</v>
      </c>
    </row>
    <row r="7" spans="1:6">
      <c r="A7" s="43" t="s">
        <v>17</v>
      </c>
      <c r="B7" s="67">
        <v>350.27300000000002</v>
      </c>
      <c r="C7" s="92">
        <v>0.74660000000000004</v>
      </c>
      <c r="D7" s="34">
        <f>'Netzentgeltrechner Gas'!B15</f>
        <v>80000</v>
      </c>
      <c r="E7" s="41">
        <f t="shared" si="0"/>
        <v>7.4660000000000004E-3</v>
      </c>
      <c r="F7" s="42">
        <f t="shared" si="1"/>
        <v>947.55300000000011</v>
      </c>
    </row>
    <row r="8" spans="1:6">
      <c r="A8" s="43" t="s">
        <v>18</v>
      </c>
      <c r="B8" s="68">
        <v>875.68299999999999</v>
      </c>
      <c r="C8" s="93">
        <v>0.64149999999999996</v>
      </c>
      <c r="D8" s="34">
        <f>'Netzentgeltrechner Gas'!B15</f>
        <v>80000</v>
      </c>
      <c r="E8" s="41">
        <f t="shared" si="0"/>
        <v>6.4149999999999997E-3</v>
      </c>
      <c r="F8" s="42">
        <f t="shared" si="1"/>
        <v>1388.8829999999998</v>
      </c>
    </row>
    <row r="13" spans="1:6" s="33" customFormat="1" ht="31.5">
      <c r="A13" s="38" t="s">
        <v>21</v>
      </c>
      <c r="B13" s="32"/>
      <c r="D13" s="32"/>
      <c r="E13" s="32"/>
      <c r="F13" s="32"/>
    </row>
    <row r="14" spans="1:6">
      <c r="A14" s="86" t="s">
        <v>22</v>
      </c>
    </row>
    <row r="15" spans="1:6">
      <c r="A15" s="34" t="s">
        <v>24</v>
      </c>
      <c r="B15" s="69">
        <v>0.17</v>
      </c>
      <c r="C15" s="35" t="s">
        <v>60</v>
      </c>
    </row>
    <row r="16" spans="1:6">
      <c r="A16" s="34" t="s">
        <v>23</v>
      </c>
      <c r="B16" s="70">
        <v>0.1585</v>
      </c>
      <c r="C16" s="35" t="s">
        <v>60</v>
      </c>
    </row>
    <row r="17" spans="1:10">
      <c r="A17" s="34" t="s">
        <v>25</v>
      </c>
      <c r="B17" s="37">
        <v>7009000</v>
      </c>
    </row>
    <row r="18" spans="1:10">
      <c r="A18" s="34" t="s">
        <v>26</v>
      </c>
      <c r="B18" s="36">
        <v>1.4</v>
      </c>
    </row>
    <row r="19" spans="1:10">
      <c r="A19" s="34" t="s">
        <v>27</v>
      </c>
      <c r="B19" s="37">
        <f>'Netzentgeltrechner Gas'!B6</f>
        <v>2000000</v>
      </c>
    </row>
    <row r="20" spans="1:10" ht="25.5" customHeight="1">
      <c r="A20" s="34" t="s">
        <v>28</v>
      </c>
      <c r="B20" s="34">
        <f>(B19)*(B16+(B15/(1+(B19/B17)^B18)))*10/1000</f>
        <v>6069.0649152981068</v>
      </c>
      <c r="C20" s="98"/>
      <c r="D20" s="98"/>
      <c r="E20" s="98"/>
      <c r="H20" s="34"/>
      <c r="J20" s="34"/>
    </row>
    <row r="22" spans="1:10">
      <c r="A22" s="86" t="s">
        <v>29</v>
      </c>
    </row>
    <row r="23" spans="1:10">
      <c r="A23" s="34" t="s">
        <v>31</v>
      </c>
      <c r="B23" s="71">
        <v>6.3951000000000002</v>
      </c>
      <c r="C23" s="35" t="s">
        <v>60</v>
      </c>
    </row>
    <row r="24" spans="1:10">
      <c r="A24" s="34" t="s">
        <v>30</v>
      </c>
      <c r="B24" s="72">
        <v>6.1260000000000003</v>
      </c>
      <c r="C24" s="35" t="s">
        <v>60</v>
      </c>
    </row>
    <row r="25" spans="1:10">
      <c r="A25" s="34" t="s">
        <v>32</v>
      </c>
      <c r="B25" s="37">
        <v>3350</v>
      </c>
    </row>
    <row r="26" spans="1:10">
      <c r="A26" s="34" t="s">
        <v>33</v>
      </c>
      <c r="B26" s="36">
        <v>1.4</v>
      </c>
    </row>
    <row r="27" spans="1:10">
      <c r="A27" s="34" t="s">
        <v>34</v>
      </c>
      <c r="B27" s="37">
        <f>'Netzentgeltrechner Gas'!B7</f>
        <v>1000</v>
      </c>
    </row>
    <row r="28" spans="1:10" ht="26.25" customHeight="1">
      <c r="A28" s="34" t="s">
        <v>28</v>
      </c>
      <c r="B28" s="34">
        <f>B27*(B24+(B23/(1+(B27/B25)^B26)))</f>
        <v>11527.036007615121</v>
      </c>
      <c r="C28" s="98"/>
      <c r="D28" s="98"/>
      <c r="E28" s="98"/>
    </row>
    <row r="29" spans="1:10">
      <c r="B29" s="34"/>
    </row>
    <row r="30" spans="1:10">
      <c r="A30" s="34" t="s">
        <v>35</v>
      </c>
      <c r="B30" s="34">
        <f>B20+B28</f>
        <v>17596.100922913229</v>
      </c>
    </row>
    <row r="31" spans="1:10">
      <c r="B31" s="34"/>
    </row>
    <row r="32" spans="1:10">
      <c r="B32" s="34"/>
    </row>
    <row r="33" spans="1:2" ht="38.25">
      <c r="A33" s="94" t="s">
        <v>80</v>
      </c>
      <c r="B33" s="95" t="s">
        <v>79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A4A5DD3-2C9E-409F-825B-F856B9C7EE57}" hiddenColumns="1" showRuler="0" topLeftCell="G1">
      <selection sqref="A1:F32"/>
      <pageMargins left="0.78740157499999996" right="0.78740157499999996" top="0.984251969" bottom="0.984251969" header="0.4921259845" footer="0.4921259845"/>
      <headerFooter alignWithMargins="0"/>
    </customSheetView>
  </customSheetViews>
  <mergeCells count="2">
    <mergeCell ref="C20:E20"/>
    <mergeCell ref="C28:E28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>
      <selection activeCell="B7" sqref="B7"/>
    </sheetView>
  </sheetViews>
  <sheetFormatPr baseColWidth="10" defaultRowHeight="12.75"/>
  <cols>
    <col min="1" max="1" width="156.5703125" customWidth="1"/>
  </cols>
  <sheetData>
    <row r="1" spans="1:1" ht="216" customHeight="1">
      <c r="A1" s="88" t="s">
        <v>72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12</vt:i4>
      </vt:variant>
    </vt:vector>
  </HeadingPairs>
  <TitlesOfParts>
    <vt:vector size="16" baseType="lpstr">
      <vt:lpstr>Netzentgeltrechner Gas</vt:lpstr>
      <vt:lpstr>Mess- und Abrechnungspreise</vt:lpstr>
      <vt:lpstr>Rechnung Arbeit und Leistung</vt:lpstr>
      <vt:lpstr>Tabelle2</vt:lpstr>
      <vt:lpstr>Abrechnungsart</vt:lpstr>
      <vt:lpstr>Abrechnungsentgelt</vt:lpstr>
      <vt:lpstr>Datenlogger</vt:lpstr>
      <vt:lpstr>jährlich</vt:lpstr>
      <vt:lpstr>jährliche_Abrechnung</vt:lpstr>
      <vt:lpstr>Lastgangmessung</vt:lpstr>
      <vt:lpstr>Mengenumwerter</vt:lpstr>
      <vt:lpstr>Messungsentgelt</vt:lpstr>
      <vt:lpstr>Modem</vt:lpstr>
      <vt:lpstr>monatlich</vt:lpstr>
      <vt:lpstr>ZählermLM</vt:lpstr>
      <vt:lpstr>ZähleroLM</vt:lpstr>
    </vt:vector>
  </TitlesOfParts>
  <Company>EST-Essen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Sauer, Nadine</cp:lastModifiedBy>
  <cp:lastPrinted>2019-12-18T09:31:51Z</cp:lastPrinted>
  <dcterms:created xsi:type="dcterms:W3CDTF">2008-03-04T08:44:55Z</dcterms:created>
  <dcterms:modified xsi:type="dcterms:W3CDTF">2020-12-17T14:13:12Z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P_jährlich">
    <vt:lpwstr/>
  </property>
</Properties>
</file>